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3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D18" i="4"/>
  <c r="D29" i="4" l="1"/>
  <c r="E29" i="4"/>
  <c r="E21" i="4"/>
  <c r="E76" i="4" l="1"/>
  <c r="D76" i="4"/>
  <c r="F55" i="4"/>
  <c r="E88" i="4"/>
  <c r="E87" i="4"/>
  <c r="E86" i="4"/>
  <c r="E85" i="4"/>
  <c r="E84" i="4"/>
  <c r="E83" i="4"/>
  <c r="E82" i="4"/>
  <c r="E80" i="4"/>
  <c r="E55" i="4"/>
  <c r="E40" i="4"/>
  <c r="E22" i="4"/>
  <c r="E16" i="4"/>
  <c r="E17" i="4" s="1"/>
  <c r="D16" i="4"/>
  <c r="D17" i="4" s="1"/>
  <c r="D22" i="4"/>
  <c r="D40" i="4"/>
  <c r="D55" i="4"/>
  <c r="D80" i="4"/>
  <c r="D82" i="4"/>
  <c r="D83" i="4"/>
  <c r="D84" i="4"/>
  <c r="D85" i="4"/>
  <c r="D86" i="4"/>
  <c r="D87" i="4"/>
  <c r="D88" i="4"/>
  <c r="E90" i="4" l="1"/>
  <c r="E24" i="4" s="1"/>
  <c r="E25" i="4" s="1"/>
  <c r="D90" i="4"/>
  <c r="D24" i="4" s="1"/>
  <c r="D25" i="4" s="1"/>
  <c r="E48" i="4" l="1"/>
  <c r="E47" i="4"/>
  <c r="I35" i="4" l="1"/>
  <c r="I32" i="4" s="1"/>
  <c r="I29" i="4" s="1"/>
  <c r="E19" i="4" l="1"/>
  <c r="E31" i="4" s="1"/>
  <c r="D19" i="4"/>
  <c r="D31" i="4" s="1"/>
  <c r="I26" i="4"/>
  <c r="I23" i="4" s="1"/>
  <c r="I18" i="4" s="1"/>
  <c r="I13" i="4" s="1"/>
  <c r="I36" i="4"/>
  <c r="I37" i="4" s="1"/>
  <c r="I33" i="4"/>
  <c r="I34" i="4" s="1"/>
  <c r="D33" i="4" l="1"/>
  <c r="D34" i="4" s="1"/>
  <c r="D39" i="4" s="1"/>
  <c r="D41" i="4" s="1"/>
  <c r="D43" i="4" s="1"/>
  <c r="D27" i="4"/>
  <c r="D44" i="4" s="1"/>
  <c r="E33" i="4"/>
  <c r="E34" i="4" s="1"/>
  <c r="E39" i="4" s="1"/>
  <c r="E41" i="4" s="1"/>
  <c r="E43" i="4" s="1"/>
  <c r="E27" i="4"/>
  <c r="E44" i="4" s="1"/>
  <c r="D48" i="4"/>
  <c r="D47" i="4"/>
  <c r="I30" i="4"/>
  <c r="I31" i="4" s="1"/>
  <c r="I27" i="4" l="1"/>
  <c r="I28" i="4" s="1"/>
  <c r="I24" i="4" l="1"/>
  <c r="I25" i="4" s="1"/>
  <c r="I22" i="4"/>
  <c r="I21" i="4" s="1"/>
  <c r="I19" i="4" l="1"/>
  <c r="I20" i="4" s="1"/>
  <c r="I17" i="4"/>
  <c r="I16" i="4" s="1"/>
  <c r="I14" i="4" l="1"/>
  <c r="I15" i="4" s="1"/>
  <c r="I12" i="4"/>
</calcChain>
</file>

<file path=xl/sharedStrings.xml><?xml version="1.0" encoding="utf-8"?>
<sst xmlns="http://schemas.openxmlformats.org/spreadsheetml/2006/main" count="161" uniqueCount="134">
  <si>
    <t>PARTICULARS</t>
  </si>
  <si>
    <t>COUNT</t>
  </si>
  <si>
    <t>28-30</t>
  </si>
  <si>
    <t>YIELD</t>
  </si>
  <si>
    <t>PACK COUNT</t>
  </si>
  <si>
    <t>32</t>
  </si>
  <si>
    <t>RM COUNT</t>
  </si>
  <si>
    <t>33-35</t>
  </si>
  <si>
    <t>RM RANGE</t>
  </si>
  <si>
    <t>36-37</t>
  </si>
  <si>
    <t>38-40</t>
  </si>
  <si>
    <t>RM COST</t>
  </si>
  <si>
    <t>42</t>
  </si>
  <si>
    <t>43-45</t>
  </si>
  <si>
    <t>PACKING MATERIAL</t>
  </si>
  <si>
    <t>46-47</t>
  </si>
  <si>
    <t>48-50</t>
  </si>
  <si>
    <t>52</t>
  </si>
  <si>
    <t>COST OF SALES PER KG IN INR</t>
  </si>
  <si>
    <t>53-60</t>
  </si>
  <si>
    <t>61</t>
  </si>
  <si>
    <t>62</t>
  </si>
  <si>
    <t>63-70</t>
  </si>
  <si>
    <t>71</t>
  </si>
  <si>
    <t>72</t>
  </si>
  <si>
    <t>73-80</t>
  </si>
  <si>
    <t>81</t>
  </si>
  <si>
    <t>82</t>
  </si>
  <si>
    <t>83-90</t>
  </si>
  <si>
    <t>91</t>
  </si>
  <si>
    <t>92</t>
  </si>
  <si>
    <t>93-100</t>
  </si>
  <si>
    <t>Particulars</t>
  </si>
  <si>
    <t>Qty per FCL in KGS</t>
  </si>
  <si>
    <t>Procurement Freight</t>
  </si>
  <si>
    <t>De-heading Cost</t>
  </si>
  <si>
    <t>Peeling Cost</t>
  </si>
  <si>
    <t>In House labour cost</t>
  </si>
  <si>
    <t>Soaking Cost</t>
  </si>
  <si>
    <t>Electricity Cost</t>
  </si>
  <si>
    <t>Boiler Fuel Cost</t>
  </si>
  <si>
    <t>QC Cost</t>
  </si>
  <si>
    <t>Fixed Cost</t>
  </si>
  <si>
    <t>MFG Cost per KG</t>
  </si>
  <si>
    <t>Ocean Freight per FCL in USD</t>
  </si>
  <si>
    <t xml:space="preserve">Ocean Freight </t>
  </si>
  <si>
    <t>Antidumping duty</t>
  </si>
  <si>
    <t>EIA Charges 0.2% on FOB+Testing ,health &amp; Monitering fee</t>
  </si>
  <si>
    <t>Marine Insurance Rs. 8,000 per FCL</t>
  </si>
  <si>
    <t>Clearing &amp; Forwarding Charges (Rs. 12,000 per FCL)</t>
  </si>
  <si>
    <t>Survey Expenses (Rs.2,500 per FCL)</t>
  </si>
  <si>
    <t>Other Exp (temp.recorders, MPEDA, COO, Seal etc.,)</t>
  </si>
  <si>
    <t>Total Freight Forwarding Cost</t>
  </si>
  <si>
    <t>Present RM Rate</t>
  </si>
  <si>
    <t xml:space="preserve">Total P&amp;L </t>
  </si>
  <si>
    <t>Local Freight (Rs.50,000 per FCL)</t>
  </si>
  <si>
    <t>27</t>
  </si>
  <si>
    <t xml:space="preserve">Incentives @ 6.10% </t>
  </si>
  <si>
    <t>Agricultural Marketing Cess 0.25% on FOB</t>
  </si>
  <si>
    <t>1 FCL</t>
  </si>
  <si>
    <t>SALES COMISSION @ 5 CENTS PER LB</t>
  </si>
  <si>
    <t>COST OF SALES PER KG IN USD @82/-</t>
  </si>
  <si>
    <t>COST OF SALES PER LB IN USD @82/-</t>
  </si>
  <si>
    <t>No.of Containers</t>
  </si>
  <si>
    <t>FREIGHT &amp; FORWARDING EXP</t>
  </si>
  <si>
    <t xml:space="preserve">PD Altesa 5X2LBS 41/50 </t>
  </si>
  <si>
    <t>Stock Status</t>
  </si>
  <si>
    <t>Agent Name:</t>
  </si>
  <si>
    <t>Buyer Name:</t>
  </si>
  <si>
    <t>Country:</t>
  </si>
  <si>
    <t>Destination:</t>
  </si>
  <si>
    <t xml:space="preserve">Shipment Terms : </t>
  </si>
  <si>
    <t>No.of Containers :</t>
  </si>
  <si>
    <t>For Back end Workings</t>
  </si>
  <si>
    <t>Existing</t>
  </si>
  <si>
    <t>Fresh</t>
  </si>
  <si>
    <t xml:space="preserve">PD Altesa 5X2LBS 31/40 </t>
  </si>
  <si>
    <t>PREVIOUS CONFIRMED AVG. PRICE</t>
  </si>
  <si>
    <t>PREVALLING EXPORT MARKET RATE</t>
  </si>
  <si>
    <t>COST OF SALES PER LB @ rm rate + Rs….. (Rs.20 eg.,)</t>
  </si>
  <si>
    <t>COST OF SALES PER LB @ rm rate - Rs….. (Rs.10 eg.,)</t>
  </si>
  <si>
    <t>Notes</t>
  </si>
  <si>
    <t>RM to FG yield from Product Masters</t>
  </si>
  <si>
    <t>Avg. Pieces per LB from Product Masters</t>
  </si>
  <si>
    <t>As per Calculation</t>
  </si>
  <si>
    <t>* In Case of Fresh Production, RM rate to be considered from RM rate chart
* In Case of Existing Stock RM Rate to be taken from Production date</t>
  </si>
  <si>
    <t>As per Back end work show below</t>
  </si>
  <si>
    <t>Option to enter sales comission per LB or KG</t>
  </si>
  <si>
    <t>From Packing Material Module</t>
  </si>
  <si>
    <t>Avg. Confirmed Price in last 3 months from sales module</t>
  </si>
  <si>
    <t>From Prevaliling export market price master sheet</t>
  </si>
  <si>
    <t>Ocena Freight in USD :</t>
  </si>
  <si>
    <t xml:space="preserve">Shipment Period : </t>
  </si>
  <si>
    <t>from Master Sheet (upload)</t>
  </si>
  <si>
    <t>Labour Charges rate Chart</t>
  </si>
  <si>
    <t>From HRMS module Avg. Cost</t>
  </si>
  <si>
    <t>From General Material Module</t>
  </si>
  <si>
    <t>In Case of Cooked &amp; Blanched Products taken from Master Sheet (upload)</t>
  </si>
  <si>
    <t>Consumbales Cost</t>
  </si>
  <si>
    <t>Reparis &amp; Maintenance</t>
  </si>
  <si>
    <t>Other Direct Expenses</t>
  </si>
  <si>
    <t>Salaries &amp; Remunarations</t>
  </si>
  <si>
    <t>Depreciation</t>
  </si>
  <si>
    <t>From Asset Management Module</t>
  </si>
  <si>
    <t>From HRMS Module</t>
  </si>
  <si>
    <t>Finance Cost</t>
  </si>
  <si>
    <t>Admin &amp; Other Cost</t>
  </si>
  <si>
    <t>from Ocean freight rate chart</t>
  </si>
  <si>
    <t>fixed % on FOB 2%</t>
  </si>
  <si>
    <t>fixed % on FOB 0.2%</t>
  </si>
  <si>
    <t>fixed amount</t>
  </si>
  <si>
    <t>fixed % on FOB 0.25%</t>
  </si>
  <si>
    <t>Option to insert buyer rate</t>
  </si>
  <si>
    <r>
      <rPr>
        <b/>
        <u/>
        <sz val="10"/>
        <color theme="1"/>
        <rFont val="Arial"/>
        <family val="2"/>
      </rPr>
      <t>Option to select</t>
    </r>
    <r>
      <rPr>
        <b/>
        <sz val="10"/>
        <color theme="1"/>
        <rFont val="Arial"/>
        <family val="2"/>
      </rPr>
      <t xml:space="preserve">
* order to existing stock 
* Order for Fresh Production</t>
    </r>
  </si>
  <si>
    <t>Quote Price</t>
  </si>
  <si>
    <t>Option to insert Quote rate</t>
  </si>
  <si>
    <t>Buyer Offer Prices</t>
  </si>
  <si>
    <t>Net P&amp;L on Buyer Price</t>
  </si>
  <si>
    <t>P&amp;L % on Buyer Price</t>
  </si>
  <si>
    <t>* No.of Containers Product wise
* in Case of mixed containers no.of cartons can be considered / % of assortment</t>
  </si>
  <si>
    <t xml:space="preserve">Exchange Rate </t>
  </si>
  <si>
    <t>Exchange Rate Master for Costing purpose</t>
  </si>
  <si>
    <t>MFG COST (Variable)</t>
  </si>
  <si>
    <t>COST OF PRODUCTION PER LB IN USD</t>
  </si>
  <si>
    <t>FIXED COST</t>
  </si>
  <si>
    <t>TOTAL EXPENSES (VARIABLE)</t>
  </si>
  <si>
    <t>As per Back end work shown below</t>
  </si>
  <si>
    <t>Contribution % on Buyer Price</t>
  </si>
  <si>
    <t>ANALYSIS</t>
  </si>
  <si>
    <t>PREVAILING RM RATE</t>
  </si>
  <si>
    <t>Enquiry Received Date</t>
  </si>
  <si>
    <t>Feasibility study Date</t>
  </si>
  <si>
    <t>Prices Quoted Date</t>
  </si>
  <si>
    <t>Enquiry Approved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</si>
</sst>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%"/>
    <numFmt numFmtId="165" formatCode="_-[$$-409]* #,##0_ ;_-[$$-409]* \-#,##0\ ;_-[$$-409]* &quot;-&quot;??_ ;_-@_ "/>
    <numFmt numFmtId="166" formatCode="0\ &quot;FCL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center"/>
    </xf>
    <xf numFmtId="0" fontId="1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0" fillId="0" borderId="1" xfId="0" applyBorder="1"/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43" fontId="0" fillId="0" borderId="1" xfId="1" applyFont="1" applyBorder="1"/>
    <xf numFmtId="0" fontId="17" fillId="0" borderId="0" xfId="0" applyFont="1"/>
    <xf numFmtId="2" fontId="15" fillId="0" borderId="0" xfId="0" applyNumberFormat="1" applyFont="1" applyAlignment="1">
      <alignment horizontal="center"/>
    </xf>
    <xf numFmtId="164" fontId="15" fillId="0" borderId="0" xfId="2" applyNumberFormat="1" applyFont="1" applyFill="1" applyBorder="1" applyAlignment="1">
      <alignment horizontal="center"/>
    </xf>
    <xf numFmtId="0" fontId="7" fillId="4" borderId="1" xfId="0" quotePrefix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6" fillId="0" borderId="0" xfId="1" applyFont="1" applyFill="1" applyBorder="1" applyAlignment="1">
      <alignment horizontal="center" vertical="center"/>
    </xf>
    <xf numFmtId="43" fontId="0" fillId="0" borderId="0" xfId="0" applyNumberFormat="1"/>
    <xf numFmtId="43" fontId="0" fillId="0" borderId="0" xfId="1" applyFont="1"/>
    <xf numFmtId="0" fontId="18" fillId="7" borderId="0" xfId="0" applyFont="1" applyFill="1"/>
    <xf numFmtId="0" fontId="0" fillId="0" borderId="0" xfId="0" applyAlignment="1">
      <alignment horizontal="left"/>
    </xf>
    <xf numFmtId="2" fontId="15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3" fontId="6" fillId="0" borderId="1" xfId="1" applyFont="1" applyBorder="1" applyAlignment="1">
      <alignment horizontal="left" vertical="center"/>
    </xf>
    <xf numFmtId="43" fontId="14" fillId="0" borderId="1" xfId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/>
    </xf>
    <xf numFmtId="43" fontId="0" fillId="0" borderId="1" xfId="1" applyFont="1" applyBorder="1" applyAlignment="1">
      <alignment horizontal="left"/>
    </xf>
    <xf numFmtId="2" fontId="5" fillId="0" borderId="0" xfId="1" applyNumberFormat="1" applyFont="1" applyFill="1" applyBorder="1" applyAlignment="1">
      <alignment horizontal="left" vertical="center"/>
    </xf>
    <xf numFmtId="43" fontId="6" fillId="0" borderId="1" xfId="1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" fontId="7" fillId="0" borderId="3" xfId="1" applyNumberFormat="1" applyFont="1" applyFill="1" applyBorder="1" applyAlignment="1">
      <alignment horizontal="center" vertical="center"/>
    </xf>
    <xf numFmtId="1" fontId="7" fillId="0" borderId="3" xfId="1" applyNumberFormat="1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2" fontId="4" fillId="0" borderId="3" xfId="1" applyNumberFormat="1" applyFont="1" applyFill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/>
    </xf>
    <xf numFmtId="2" fontId="13" fillId="5" borderId="3" xfId="1" applyNumberFormat="1" applyFont="1" applyFill="1" applyBorder="1" applyAlignment="1">
      <alignment horizontal="center" vertical="center"/>
    </xf>
    <xf numFmtId="2" fontId="5" fillId="5" borderId="3" xfId="1" applyNumberFormat="1" applyFont="1" applyFill="1" applyBorder="1" applyAlignment="1">
      <alignment horizontal="left" vertical="center"/>
    </xf>
    <xf numFmtId="2" fontId="13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left" vertical="center"/>
    </xf>
    <xf numFmtId="2" fontId="13" fillId="0" borderId="3" xfId="1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/>
    </xf>
    <xf numFmtId="166" fontId="12" fillId="6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" fontId="4" fillId="0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2" fontId="4" fillId="2" borderId="1" xfId="1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1" fontId="4" fillId="8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2" fontId="13" fillId="5" borderId="1" xfId="1" applyNumberFormat="1" applyFont="1" applyFill="1" applyBorder="1" applyAlignment="1">
      <alignment horizontal="center" vertical="center"/>
    </xf>
    <xf numFmtId="2" fontId="5" fillId="5" borderId="1" xfId="1" applyNumberFormat="1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2" fontId="13" fillId="5" borderId="2" xfId="1" applyNumberFormat="1" applyFont="1" applyFill="1" applyBorder="1" applyAlignment="1">
      <alignment horizontal="center" vertical="center"/>
    </xf>
    <xf numFmtId="2" fontId="5" fillId="5" borderId="2" xfId="1" applyNumberFormat="1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2" fontId="13" fillId="5" borderId="5" xfId="1" applyNumberFormat="1" applyFont="1" applyFill="1" applyBorder="1" applyAlignment="1">
      <alignment horizontal="center" vertical="center"/>
    </xf>
    <xf numFmtId="2" fontId="5" fillId="5" borderId="5" xfId="1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2" fontId="1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left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1" fontId="19" fillId="8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2" fillId="8" borderId="6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91"/>
  <sheetViews>
    <sheetView showGridLines="0" tabSelected="1" topLeftCell="A10" workbookViewId="0">
      <selection activeCell="D19" sqref="D19"/>
    </sheetView>
  </sheetViews>
  <sheetFormatPr defaultRowHeight="15" x14ac:dyDescent="0.25"/>
  <cols>
    <col min="1" max="2" width="2.28515625" customWidth="1"/>
    <col min="3" max="3" width="59" bestFit="1" customWidth="1"/>
    <col min="4" max="4" width="13" customWidth="1"/>
    <col min="5" max="5" width="13.140625" customWidth="1"/>
    <col min="6" max="6" width="44.28515625" style="34" customWidth="1"/>
    <col min="7" max="7" width="4.5703125" customWidth="1"/>
    <col min="8" max="9" width="9.140625" customWidth="1"/>
    <col min="10" max="10" width="8.42578125" bestFit="1" customWidth="1"/>
  </cols>
  <sheetData>
    <row r="2" spans="3:9" ht="15.75" x14ac:dyDescent="0.25">
      <c r="C2" s="1" t="s">
        <v>67</v>
      </c>
    </row>
    <row r="3" spans="3:9" ht="15.75" x14ac:dyDescent="0.25">
      <c r="C3" s="1" t="s">
        <v>68</v>
      </c>
    </row>
    <row r="4" spans="3:9" ht="15.75" x14ac:dyDescent="0.25">
      <c r="C4" s="1" t="s">
        <v>69</v>
      </c>
      <c r="F4" s="103" t="s">
        <v>130</v>
      </c>
      <c r="H4" s="104">
        <v>45346</v>
      </c>
      <c r="I4" s="105"/>
    </row>
    <row r="5" spans="3:9" ht="15.75" x14ac:dyDescent="0.25">
      <c r="C5" s="1" t="s">
        <v>70</v>
      </c>
      <c r="F5" s="103" t="s">
        <v>131</v>
      </c>
      <c r="H5" s="104">
        <v>45347</v>
      </c>
      <c r="I5" s="105"/>
    </row>
    <row r="6" spans="3:9" ht="15.75" x14ac:dyDescent="0.25">
      <c r="C6" s="1" t="s">
        <v>71</v>
      </c>
      <c r="F6" s="103" t="s">
        <v>132</v>
      </c>
      <c r="H6" s="104">
        <v>45347</v>
      </c>
      <c r="I6" s="105"/>
    </row>
    <row r="7" spans="3:9" ht="15.75" x14ac:dyDescent="0.25">
      <c r="C7" s="1" t="s">
        <v>91</v>
      </c>
      <c r="F7" s="103" t="s">
        <v>133</v>
      </c>
      <c r="H7" s="104">
        <v>45348</v>
      </c>
      <c r="I7" s="105"/>
    </row>
    <row r="8" spans="3:9" ht="15.75" x14ac:dyDescent="0.25">
      <c r="C8" s="1" t="s">
        <v>92</v>
      </c>
      <c r="F8" s="103"/>
    </row>
    <row r="9" spans="3:9" ht="15.75" x14ac:dyDescent="0.25">
      <c r="C9" s="1" t="s">
        <v>72</v>
      </c>
    </row>
    <row r="10" spans="3:9" ht="15.75" x14ac:dyDescent="0.25">
      <c r="C10" s="1"/>
    </row>
    <row r="11" spans="3:9" ht="81" customHeight="1" x14ac:dyDescent="0.25">
      <c r="C11" s="63" t="s">
        <v>0</v>
      </c>
      <c r="D11" s="11" t="s">
        <v>65</v>
      </c>
      <c r="E11" s="11" t="s">
        <v>76</v>
      </c>
      <c r="F11" s="11" t="s">
        <v>81</v>
      </c>
      <c r="H11" s="2" t="s">
        <v>1</v>
      </c>
      <c r="I11" s="3" t="s">
        <v>53</v>
      </c>
    </row>
    <row r="12" spans="3:9" ht="38.25" x14ac:dyDescent="0.25">
      <c r="C12" s="64" t="s">
        <v>66</v>
      </c>
      <c r="D12" s="11" t="s">
        <v>74</v>
      </c>
      <c r="E12" s="11" t="s">
        <v>75</v>
      </c>
      <c r="F12" s="65" t="s">
        <v>113</v>
      </c>
      <c r="H12" s="26" t="s">
        <v>56</v>
      </c>
      <c r="I12" s="5">
        <f>+I13+10</f>
        <v>460</v>
      </c>
    </row>
    <row r="13" spans="3:9" ht="38.25" x14ac:dyDescent="0.25">
      <c r="C13" s="66" t="s">
        <v>63</v>
      </c>
      <c r="D13" s="67" t="s">
        <v>59</v>
      </c>
      <c r="E13" s="67" t="s">
        <v>59</v>
      </c>
      <c r="F13" s="68" t="s">
        <v>119</v>
      </c>
      <c r="H13" s="4" t="s">
        <v>2</v>
      </c>
      <c r="I13" s="5">
        <f>+I18+60</f>
        <v>450</v>
      </c>
    </row>
    <row r="14" spans="3:9" x14ac:dyDescent="0.25">
      <c r="C14" s="45" t="s">
        <v>3</v>
      </c>
      <c r="D14" s="46">
        <v>64</v>
      </c>
      <c r="E14" s="46">
        <v>66</v>
      </c>
      <c r="F14" s="47" t="s">
        <v>82</v>
      </c>
      <c r="H14" s="6">
        <v>31</v>
      </c>
      <c r="I14" s="7">
        <f>+I13-10</f>
        <v>440</v>
      </c>
    </row>
    <row r="15" spans="3:9" x14ac:dyDescent="0.25">
      <c r="C15" s="45" t="s">
        <v>4</v>
      </c>
      <c r="D15" s="46">
        <v>48</v>
      </c>
      <c r="E15" s="46">
        <v>38</v>
      </c>
      <c r="F15" s="47" t="s">
        <v>83</v>
      </c>
      <c r="H15" s="8" t="s">
        <v>5</v>
      </c>
      <c r="I15" s="7">
        <f t="shared" ref="I15" si="0">+I14-10</f>
        <v>430</v>
      </c>
    </row>
    <row r="16" spans="3:9" x14ac:dyDescent="0.25">
      <c r="C16" s="69" t="s">
        <v>6</v>
      </c>
      <c r="D16" s="70">
        <f t="shared" ref="D16:E16" si="1">ROUND(1000/((454/D14/D15)*100),0)</f>
        <v>68</v>
      </c>
      <c r="E16" s="70">
        <f t="shared" si="1"/>
        <v>55</v>
      </c>
      <c r="F16" s="71" t="s">
        <v>84</v>
      </c>
      <c r="H16" s="6" t="s">
        <v>7</v>
      </c>
      <c r="I16" s="7">
        <f t="shared" ref="I16:I17" si="2">+I17+5</f>
        <v>400</v>
      </c>
    </row>
    <row r="17" spans="3:13" ht="15.75" x14ac:dyDescent="0.25">
      <c r="C17" s="72" t="s">
        <v>8</v>
      </c>
      <c r="D17" s="73" t="str">
        <f t="shared" ref="D17:E17" si="3">IF(AND(D16&gt;=19.5,D16&lt;=20.49),"20",IF(AND(D16&gt;=17.5,D16&lt;=18.49),"18",IF(AND(D16&gt;=18.5,D16&lt;=19.49),"19",IF(AND(D16&gt;=20.5,D16&lt;=21.49),"21",IF(AND(D16&gt;=21.5,D16&lt;=22.49),"22",IF(AND(D16&gt;=22.5,D16&lt;=23.49),"23",IF(AND(D16&gt;=23.5,D16&lt;=24.49),"24",IF(AND(D16&gt;=24.5,D16&lt;=25.49),"25",IF(AND(D16&gt;=25.5,D16&lt;=26.49),"26",IF(AND(D16&gt;=26.5,D16&lt;=27.49),"27",IF(AND(D16&gt;=27.5,D16&lt;=30.49),"28-30",IF(AND(D16&gt;=30.5,D16&lt;=31.49),"31",IF(AND(D16&gt;=31.5,D16&lt;=32.49),"32",IF(AND(D16&gt;=32.5,D16&lt;=35.49),"33-35",IF(AND(D16&gt;=37.5,D16&lt;=40.5),"38-40",IF(AND(D16&gt;=35.5,D16&lt;=37.49),"36-37",IF(AND(D16&gt;=40.5,D16&lt;=41.49),"41",IF(AND(D16&gt;=41.5,D16&lt;=42.49),"42",IF(AND(D16&gt;=42.5,D16&lt;=45.49),"43-45",IF(AND(D16&gt;=45.5,D16&lt;=47.59),"46-47",IF(AND(D16&gt;=47.5,D16&lt;=50.49),"48-50",IF(AND(D16&gt;=50.5,D16&lt;=51.49),"51",IF(AND(D16&gt;=51.5,D16&lt;=52.49),"52",IF(AND(D16&gt;=52.5,D16&lt;=60.49),"53-60",IF(AND(D16&gt;=60.5,D16&lt;=61.49),"61",IF(AND(D16&gt;=61.5,D16&lt;=62.49),"62",IF(AND(D16&gt;=62.5,D16&lt;=70.49),"63-70",IF(AND(D16&gt;=70.5,D16&lt;=71.49),"71",IF(AND(D16&gt;=71.5,D16&lt;=72.49),"72",IF(AND(D16&gt;=72.5,D16&lt;=80.49),"73-80",IF(AND(D16&gt;=80.5,D16&lt;=81.49),"81",IF(AND(D16&gt;=81.5,D16&lt;=82.49),"82",IF(AND(D16&gt;=82.5,D16&lt;=90.49),"83-90",IF(AND(D16&gt;=90.5,D16&lt;=91.49),"91",IF(AND(D16&gt;=91.5,D16&lt;=92.49),"92",IF(AND(D16&gt;=92.5,D16&lt;=100.49),"93-100",IF(D16&gt;=100.5,ROUND(D16,0),FALSE)))))))))))))))))))))))))))))))))))))</f>
        <v>63-70</v>
      </c>
      <c r="E17" s="73" t="str">
        <f t="shared" si="3"/>
        <v>53-60</v>
      </c>
      <c r="F17" s="106" t="s">
        <v>85</v>
      </c>
      <c r="H17" s="6" t="s">
        <v>9</v>
      </c>
      <c r="I17" s="7">
        <f t="shared" si="2"/>
        <v>395</v>
      </c>
    </row>
    <row r="18" spans="3:13" ht="38.25" customHeight="1" x14ac:dyDescent="0.25">
      <c r="C18" s="74" t="s">
        <v>129</v>
      </c>
      <c r="D18" s="75">
        <f>VLOOKUP(D17,$H$12:$I$38,2,FALSE)</f>
        <v>270</v>
      </c>
      <c r="E18" s="75">
        <v>280</v>
      </c>
      <c r="F18" s="107"/>
      <c r="H18" s="4" t="s">
        <v>10</v>
      </c>
      <c r="I18" s="5">
        <f>+I23+60</f>
        <v>390</v>
      </c>
    </row>
    <row r="19" spans="3:13" x14ac:dyDescent="0.25">
      <c r="C19" s="76" t="s">
        <v>11</v>
      </c>
      <c r="D19" s="77">
        <f>ROUND(D18/D14%,0)</f>
        <v>422</v>
      </c>
      <c r="E19" s="77">
        <f>ROUND(E18/E14%,0)</f>
        <v>424</v>
      </c>
      <c r="F19" s="71" t="s">
        <v>84</v>
      </c>
      <c r="H19" s="6">
        <v>41</v>
      </c>
      <c r="I19" s="7">
        <f t="shared" ref="I19:I20" si="4">+I18-10</f>
        <v>380</v>
      </c>
    </row>
    <row r="20" spans="3:13" x14ac:dyDescent="0.25">
      <c r="C20" s="49"/>
      <c r="D20" s="50"/>
      <c r="E20" s="50"/>
      <c r="F20" s="51"/>
      <c r="H20" s="8" t="s">
        <v>12</v>
      </c>
      <c r="I20" s="7">
        <f t="shared" si="4"/>
        <v>370</v>
      </c>
    </row>
    <row r="21" spans="3:13" x14ac:dyDescent="0.25">
      <c r="C21" s="49" t="s">
        <v>122</v>
      </c>
      <c r="D21" s="52">
        <f>SUM(D58:D68)</f>
        <v>62.5</v>
      </c>
      <c r="E21" s="52">
        <f>SUM(E58:E68)</f>
        <v>62.5</v>
      </c>
      <c r="F21" s="53" t="s">
        <v>126</v>
      </c>
      <c r="H21" s="6" t="s">
        <v>13</v>
      </c>
      <c r="I21" s="7">
        <f t="shared" ref="I21:I22" si="5">+I22+5</f>
        <v>340</v>
      </c>
    </row>
    <row r="22" spans="3:13" x14ac:dyDescent="0.25">
      <c r="C22" s="49" t="s">
        <v>60</v>
      </c>
      <c r="D22" s="52">
        <f>(33000*0.05*82)/D56</f>
        <v>9.0308370044052868</v>
      </c>
      <c r="E22" s="52">
        <f>(33000*0.05*82)/E56</f>
        <v>9.0308370044052868</v>
      </c>
      <c r="F22" s="53" t="s">
        <v>87</v>
      </c>
      <c r="H22" s="6" t="s">
        <v>15</v>
      </c>
      <c r="I22" s="7">
        <f t="shared" si="5"/>
        <v>335</v>
      </c>
    </row>
    <row r="23" spans="3:13" x14ac:dyDescent="0.25">
      <c r="C23" s="49" t="s">
        <v>14</v>
      </c>
      <c r="D23" s="52">
        <v>14</v>
      </c>
      <c r="E23" s="52">
        <v>14</v>
      </c>
      <c r="F23" s="53" t="s">
        <v>88</v>
      </c>
      <c r="H23" s="4" t="s">
        <v>16</v>
      </c>
      <c r="I23" s="5">
        <f>+I26+40</f>
        <v>330</v>
      </c>
    </row>
    <row r="24" spans="3:13" x14ac:dyDescent="0.25">
      <c r="C24" s="49" t="s">
        <v>64</v>
      </c>
      <c r="D24" s="52">
        <f>+D90</f>
        <v>40.367374182352158</v>
      </c>
      <c r="E24" s="52">
        <f>+E90</f>
        <v>40.367374182352158</v>
      </c>
      <c r="F24" s="53" t="s">
        <v>86</v>
      </c>
      <c r="H24" s="6">
        <v>51</v>
      </c>
      <c r="I24" s="7">
        <f t="shared" ref="I24:I25" si="6">+I23-10</f>
        <v>320</v>
      </c>
    </row>
    <row r="25" spans="3:13" ht="15.75" x14ac:dyDescent="0.25">
      <c r="C25" s="78" t="s">
        <v>125</v>
      </c>
      <c r="D25" s="79">
        <f>SUM(D21:D24)</f>
        <v>125.89821118675744</v>
      </c>
      <c r="E25" s="79">
        <f>SUM(E21:E24)</f>
        <v>125.89821118675744</v>
      </c>
      <c r="F25" s="71" t="s">
        <v>84</v>
      </c>
      <c r="H25" s="8" t="s">
        <v>17</v>
      </c>
      <c r="I25" s="7">
        <f t="shared" si="6"/>
        <v>310</v>
      </c>
    </row>
    <row r="26" spans="3:13" ht="15.75" x14ac:dyDescent="0.25">
      <c r="C26" s="78"/>
      <c r="D26" s="79"/>
      <c r="E26" s="79"/>
      <c r="F26" s="71"/>
      <c r="H26" s="4" t="s">
        <v>19</v>
      </c>
      <c r="I26" s="5">
        <f>+I29+20</f>
        <v>290</v>
      </c>
    </row>
    <row r="27" spans="3:13" ht="15.75" x14ac:dyDescent="0.25">
      <c r="C27" s="80" t="s">
        <v>123</v>
      </c>
      <c r="D27" s="81">
        <f>(D25+D19)/82*0.454</f>
        <v>3.0334852180339986</v>
      </c>
      <c r="E27" s="81">
        <f>(E25+E19)/82*0.454</f>
        <v>3.0445583887657057</v>
      </c>
      <c r="F27" s="82" t="s">
        <v>84</v>
      </c>
      <c r="H27" s="8" t="s">
        <v>20</v>
      </c>
      <c r="I27" s="7">
        <f t="shared" ref="I27:I28" si="7">+I26-5</f>
        <v>285</v>
      </c>
    </row>
    <row r="28" spans="3:13" ht="15.75" x14ac:dyDescent="0.25">
      <c r="C28" s="54"/>
      <c r="D28" s="55"/>
      <c r="E28" s="55"/>
      <c r="F28" s="47"/>
      <c r="H28" s="8" t="s">
        <v>21</v>
      </c>
      <c r="I28" s="7">
        <f t="shared" si="7"/>
        <v>280</v>
      </c>
    </row>
    <row r="29" spans="3:13" ht="15.75" x14ac:dyDescent="0.25">
      <c r="C29" s="83" t="s">
        <v>124</v>
      </c>
      <c r="D29" s="84">
        <f>SUM(D71:D74)</f>
        <v>35</v>
      </c>
      <c r="E29" s="84">
        <f>SUM(E71:E74)</f>
        <v>35</v>
      </c>
      <c r="F29" s="102" t="s">
        <v>126</v>
      </c>
      <c r="H29" s="4" t="s">
        <v>22</v>
      </c>
      <c r="I29" s="5">
        <f>+I32+20</f>
        <v>270</v>
      </c>
    </row>
    <row r="30" spans="3:13" x14ac:dyDescent="0.25">
      <c r="C30" s="49"/>
      <c r="D30" s="50"/>
      <c r="E30" s="50"/>
      <c r="F30" s="51"/>
      <c r="H30" s="8" t="s">
        <v>23</v>
      </c>
      <c r="I30" s="7">
        <f>+I29-5</f>
        <v>265</v>
      </c>
    </row>
    <row r="31" spans="3:13" x14ac:dyDescent="0.25">
      <c r="C31" s="48" t="s">
        <v>18</v>
      </c>
      <c r="D31" s="56">
        <f>+D25+D19+D29</f>
        <v>582.89821118675741</v>
      </c>
      <c r="E31" s="56">
        <f>+E25+E19+E29</f>
        <v>584.89821118675741</v>
      </c>
      <c r="F31" s="47" t="s">
        <v>84</v>
      </c>
      <c r="H31" s="8" t="s">
        <v>24</v>
      </c>
      <c r="I31" s="7">
        <f t="shared" ref="I31" si="8">+I30-5</f>
        <v>260</v>
      </c>
    </row>
    <row r="32" spans="3:13" x14ac:dyDescent="0.25">
      <c r="C32" s="48" t="s">
        <v>120</v>
      </c>
      <c r="D32" s="56">
        <v>82</v>
      </c>
      <c r="E32" s="56">
        <v>82</v>
      </c>
      <c r="F32" s="47" t="s">
        <v>121</v>
      </c>
      <c r="H32" s="4" t="s">
        <v>25</v>
      </c>
      <c r="I32" s="5">
        <f>+I35+10</f>
        <v>250</v>
      </c>
      <c r="M32" s="32"/>
    </row>
    <row r="33" spans="3:9" x14ac:dyDescent="0.25">
      <c r="C33" s="85" t="s">
        <v>61</v>
      </c>
      <c r="D33" s="86">
        <f>+D31/D32</f>
        <v>7.1085147705702125</v>
      </c>
      <c r="E33" s="86">
        <f>+E31/E32</f>
        <v>7.1329050144726516</v>
      </c>
      <c r="F33" s="87" t="s">
        <v>84</v>
      </c>
      <c r="H33" s="8" t="s">
        <v>26</v>
      </c>
      <c r="I33" s="7">
        <f t="shared" ref="I33:I34" si="9">+I32-2</f>
        <v>248</v>
      </c>
    </row>
    <row r="34" spans="3:9" x14ac:dyDescent="0.25">
      <c r="C34" s="85" t="s">
        <v>62</v>
      </c>
      <c r="D34" s="86">
        <f t="shared" ref="D34:E34" si="10">+D33*0.454</f>
        <v>3.2272657058388767</v>
      </c>
      <c r="E34" s="86">
        <f t="shared" si="10"/>
        <v>3.2383388765705838</v>
      </c>
      <c r="F34" s="87" t="s">
        <v>84</v>
      </c>
      <c r="G34" s="23"/>
      <c r="H34" s="8" t="s">
        <v>27</v>
      </c>
      <c r="I34" s="7">
        <f t="shared" si="9"/>
        <v>246</v>
      </c>
    </row>
    <row r="35" spans="3:9" x14ac:dyDescent="0.25">
      <c r="C35" s="48"/>
      <c r="D35" s="60"/>
      <c r="E35" s="60"/>
      <c r="F35" s="62"/>
      <c r="G35" s="23"/>
      <c r="H35" s="4" t="s">
        <v>28</v>
      </c>
      <c r="I35" s="5">
        <f>+I38+10</f>
        <v>240</v>
      </c>
    </row>
    <row r="36" spans="3:9" x14ac:dyDescent="0.25">
      <c r="C36" s="85" t="s">
        <v>114</v>
      </c>
      <c r="D36" s="86">
        <v>3</v>
      </c>
      <c r="E36" s="86">
        <v>3.4</v>
      </c>
      <c r="F36" s="87" t="s">
        <v>115</v>
      </c>
      <c r="G36" s="23"/>
      <c r="H36" s="8" t="s">
        <v>29</v>
      </c>
      <c r="I36" s="7">
        <f t="shared" ref="I36:I37" si="11">+I35-1</f>
        <v>239</v>
      </c>
    </row>
    <row r="37" spans="3:9" x14ac:dyDescent="0.25">
      <c r="C37" s="85" t="s">
        <v>116</v>
      </c>
      <c r="D37" s="86">
        <v>2.95</v>
      </c>
      <c r="E37" s="86">
        <v>3.3</v>
      </c>
      <c r="F37" s="87" t="s">
        <v>112</v>
      </c>
      <c r="G37" s="23"/>
      <c r="H37" s="8" t="s">
        <v>30</v>
      </c>
      <c r="I37" s="7">
        <f t="shared" si="11"/>
        <v>238</v>
      </c>
    </row>
    <row r="38" spans="3:9" x14ac:dyDescent="0.25">
      <c r="C38" s="48"/>
      <c r="D38" s="60"/>
      <c r="E38" s="60"/>
      <c r="F38" s="61"/>
      <c r="G38" s="23"/>
      <c r="H38" s="4" t="s">
        <v>31</v>
      </c>
      <c r="I38" s="5">
        <v>230</v>
      </c>
    </row>
    <row r="39" spans="3:9" s="29" customFormat="1" x14ac:dyDescent="0.25">
      <c r="C39" s="88" t="s">
        <v>117</v>
      </c>
      <c r="D39" s="89">
        <f>+D37-D34</f>
        <v>-0.27726570583887655</v>
      </c>
      <c r="E39" s="89">
        <f>+E37-E34</f>
        <v>6.1661123429415987E-2</v>
      </c>
      <c r="F39" s="90" t="s">
        <v>84</v>
      </c>
      <c r="G39" s="23"/>
      <c r="H39" s="27"/>
      <c r="I39" s="28"/>
    </row>
    <row r="40" spans="3:9" s="29" customFormat="1" x14ac:dyDescent="0.25">
      <c r="C40" s="57" t="s">
        <v>57</v>
      </c>
      <c r="D40" s="58">
        <f>((D36-(D78/(D56/0.454)))-(((D36-(D78/(D56/0.454))))*1.35%))*6%</f>
        <v>0.17129227272727274</v>
      </c>
      <c r="E40" s="58">
        <f>((E36-(E78/(E56/0.454)))-(((E36-(E78/(E56/0.454))))*1.35%))*6%</f>
        <v>0.19496827272727271</v>
      </c>
      <c r="F40" s="59" t="s">
        <v>84</v>
      </c>
      <c r="G40" s="23"/>
      <c r="H40" s="27"/>
      <c r="I40" s="28"/>
    </row>
    <row r="41" spans="3:9" s="29" customFormat="1" ht="15.75" thickBot="1" x14ac:dyDescent="0.3">
      <c r="C41" s="91" t="s">
        <v>54</v>
      </c>
      <c r="D41" s="92">
        <f t="shared" ref="D41:E41" si="12">+D39+D40</f>
        <v>-0.10597343311160382</v>
      </c>
      <c r="E41" s="92">
        <f t="shared" si="12"/>
        <v>0.25662939615668867</v>
      </c>
      <c r="F41" s="93" t="s">
        <v>84</v>
      </c>
      <c r="G41" s="23"/>
      <c r="H41" s="27"/>
      <c r="I41" s="28"/>
    </row>
    <row r="42" spans="3:9" s="29" customFormat="1" ht="15.75" x14ac:dyDescent="0.25">
      <c r="C42" s="9"/>
      <c r="D42" s="24"/>
      <c r="E42" s="24"/>
      <c r="F42" s="35"/>
      <c r="G42" s="23"/>
      <c r="H42" s="27"/>
      <c r="I42" s="28"/>
    </row>
    <row r="43" spans="3:9" s="29" customFormat="1" ht="15.75" x14ac:dyDescent="0.25">
      <c r="C43" s="9" t="s">
        <v>118</v>
      </c>
      <c r="D43" s="25">
        <f>+D41/D37</f>
        <v>-3.5923197664950446E-2</v>
      </c>
      <c r="E43" s="25">
        <f>+E41/E37</f>
        <v>7.7766483683845061E-2</v>
      </c>
      <c r="F43" s="42" t="s">
        <v>84</v>
      </c>
      <c r="G43" s="23"/>
      <c r="H43" s="27"/>
      <c r="I43" s="28"/>
    </row>
    <row r="44" spans="3:9" s="29" customFormat="1" ht="15.75" x14ac:dyDescent="0.25">
      <c r="C44" s="9" t="s">
        <v>127</v>
      </c>
      <c r="D44" s="25">
        <f>((D37+D40)-D27)/D27</f>
        <v>2.8945931290933351E-2</v>
      </c>
      <c r="E44" s="25">
        <f>((E37+E40)-E27)/E27</f>
        <v>0.14793931547628072</v>
      </c>
      <c r="F44" s="42" t="s">
        <v>84</v>
      </c>
      <c r="G44" s="23"/>
      <c r="H44" s="27"/>
      <c r="I44" s="28"/>
    </row>
    <row r="45" spans="3:9" s="29" customFormat="1" ht="15.75" x14ac:dyDescent="0.25">
      <c r="C45" s="9"/>
      <c r="D45" s="25"/>
      <c r="E45" s="25"/>
      <c r="F45" s="42"/>
      <c r="G45" s="23"/>
      <c r="H45" s="27"/>
      <c r="I45" s="28"/>
    </row>
    <row r="46" spans="3:9" s="29" customFormat="1" x14ac:dyDescent="0.25">
      <c r="C46" s="108" t="s">
        <v>128</v>
      </c>
      <c r="D46" s="109"/>
      <c r="E46" s="109"/>
      <c r="F46" s="110"/>
      <c r="G46" s="23"/>
      <c r="H46" s="27"/>
      <c r="I46" s="28"/>
    </row>
    <row r="47" spans="3:9" s="29" customFormat="1" x14ac:dyDescent="0.25">
      <c r="C47" s="94" t="s">
        <v>79</v>
      </c>
      <c r="D47" s="95">
        <f>(((D18+20)/D14%)+D25)/82*0.454</f>
        <v>3.2058114375461932</v>
      </c>
      <c r="E47" s="95">
        <f>(((E18+20)/E14%)+E25)/82*0.454</f>
        <v>3.2136759053954176</v>
      </c>
      <c r="F47" s="96" t="s">
        <v>84</v>
      </c>
      <c r="G47" s="23"/>
      <c r="H47" s="27"/>
      <c r="I47" s="28"/>
    </row>
    <row r="48" spans="3:9" x14ac:dyDescent="0.25">
      <c r="C48" s="76" t="s">
        <v>80</v>
      </c>
      <c r="D48" s="98">
        <f>(((D18-10)/D14%)+D25)/82*0.454</f>
        <v>2.9462839985218032</v>
      </c>
      <c r="E48" s="98">
        <f>(((E18-10)/E14%)+E25)/82*0.454</f>
        <v>2.9620129342202515</v>
      </c>
      <c r="F48" s="101" t="s">
        <v>84</v>
      </c>
      <c r="G48" s="23"/>
    </row>
    <row r="49" spans="3:11" ht="25.5" x14ac:dyDescent="0.25">
      <c r="C49" s="76" t="s">
        <v>77</v>
      </c>
      <c r="D49" s="98">
        <v>2.9</v>
      </c>
      <c r="E49" s="98">
        <v>3.2</v>
      </c>
      <c r="F49" s="99" t="s">
        <v>89</v>
      </c>
      <c r="G49" s="23"/>
    </row>
    <row r="50" spans="3:11" ht="25.5" x14ac:dyDescent="0.25">
      <c r="C50" s="74" t="s">
        <v>78</v>
      </c>
      <c r="D50" s="97">
        <v>3</v>
      </c>
      <c r="E50" s="97">
        <v>3.35</v>
      </c>
      <c r="F50" s="100" t="s">
        <v>90</v>
      </c>
      <c r="G50" s="23"/>
      <c r="I50" s="30"/>
      <c r="J50" s="30"/>
      <c r="K50" s="31"/>
    </row>
    <row r="51" spans="3:11" x14ac:dyDescent="0.25">
      <c r="G51" s="23"/>
      <c r="I51" s="30"/>
      <c r="J51" s="30"/>
      <c r="K51" s="31"/>
    </row>
    <row r="52" spans="3:11" x14ac:dyDescent="0.25">
      <c r="G52" s="23"/>
      <c r="K52" s="31"/>
    </row>
    <row r="53" spans="3:11" x14ac:dyDescent="0.25">
      <c r="G53" s="23"/>
    </row>
    <row r="54" spans="3:11" ht="18.75" x14ac:dyDescent="0.3">
      <c r="C54" s="33" t="s">
        <v>73</v>
      </c>
    </row>
    <row r="55" spans="3:11" ht="47.25" x14ac:dyDescent="0.25">
      <c r="C55" s="10" t="s">
        <v>32</v>
      </c>
      <c r="D55" s="11" t="str">
        <f>+D11</f>
        <v xml:space="preserve">PD Altesa 5X2LBS 41/50 </v>
      </c>
      <c r="E55" s="11" t="str">
        <f>+E11</f>
        <v xml:space="preserve">PD Altesa 5X2LBS 31/40 </v>
      </c>
      <c r="F55" s="11" t="str">
        <f>+F11</f>
        <v>Notes</v>
      </c>
    </row>
    <row r="56" spans="3:11" ht="15.75" x14ac:dyDescent="0.25">
      <c r="C56" s="12" t="s">
        <v>33</v>
      </c>
      <c r="D56" s="13">
        <v>14982</v>
      </c>
      <c r="E56" s="13">
        <v>14982</v>
      </c>
      <c r="F56" s="36"/>
    </row>
    <row r="57" spans="3:11" x14ac:dyDescent="0.25">
      <c r="C57" s="14"/>
      <c r="D57" s="15"/>
      <c r="E57" s="15"/>
      <c r="F57" s="37"/>
    </row>
    <row r="58" spans="3:11" x14ac:dyDescent="0.25">
      <c r="C58" s="16" t="s">
        <v>34</v>
      </c>
      <c r="D58" s="17">
        <v>8</v>
      </c>
      <c r="E58" s="17">
        <v>8</v>
      </c>
      <c r="F58" s="38" t="s">
        <v>93</v>
      </c>
    </row>
    <row r="59" spans="3:11" x14ac:dyDescent="0.25">
      <c r="C59" s="16" t="s">
        <v>35</v>
      </c>
      <c r="D59" s="17">
        <v>4</v>
      </c>
      <c r="E59" s="17">
        <v>4</v>
      </c>
      <c r="F59" s="38" t="s">
        <v>94</v>
      </c>
    </row>
    <row r="60" spans="3:11" x14ac:dyDescent="0.25">
      <c r="C60" s="16" t="s">
        <v>36</v>
      </c>
      <c r="D60" s="17">
        <v>11</v>
      </c>
      <c r="E60" s="17">
        <v>11</v>
      </c>
      <c r="F60" s="38" t="s">
        <v>94</v>
      </c>
    </row>
    <row r="61" spans="3:11" x14ac:dyDescent="0.25">
      <c r="C61" s="16" t="s">
        <v>37</v>
      </c>
      <c r="D61" s="17">
        <v>15</v>
      </c>
      <c r="E61" s="17">
        <v>15</v>
      </c>
      <c r="F61" s="38" t="s">
        <v>95</v>
      </c>
    </row>
    <row r="62" spans="3:11" x14ac:dyDescent="0.25">
      <c r="C62" s="16" t="s">
        <v>38</v>
      </c>
      <c r="D62" s="17">
        <v>6</v>
      </c>
      <c r="E62" s="17">
        <v>6</v>
      </c>
      <c r="F62" s="38" t="s">
        <v>96</v>
      </c>
    </row>
    <row r="63" spans="3:11" x14ac:dyDescent="0.25">
      <c r="C63" s="16" t="s">
        <v>39</v>
      </c>
      <c r="D63" s="17">
        <v>11.5</v>
      </c>
      <c r="E63" s="17">
        <v>11.5</v>
      </c>
      <c r="F63" s="38" t="s">
        <v>93</v>
      </c>
    </row>
    <row r="64" spans="3:11" ht="28.5" x14ac:dyDescent="0.25">
      <c r="C64" s="16" t="s">
        <v>40</v>
      </c>
      <c r="D64" s="17">
        <v>0</v>
      </c>
      <c r="E64" s="17">
        <v>0</v>
      </c>
      <c r="F64" s="43" t="s">
        <v>97</v>
      </c>
    </row>
    <row r="65" spans="3:6" x14ac:dyDescent="0.25">
      <c r="C65" s="16" t="s">
        <v>41</v>
      </c>
      <c r="D65" s="17">
        <v>2</v>
      </c>
      <c r="E65" s="17">
        <v>2</v>
      </c>
      <c r="F65" s="38" t="s">
        <v>93</v>
      </c>
    </row>
    <row r="66" spans="3:6" x14ac:dyDescent="0.25">
      <c r="C66" s="16" t="s">
        <v>98</v>
      </c>
      <c r="D66" s="17">
        <v>2</v>
      </c>
      <c r="E66" s="17">
        <v>2</v>
      </c>
      <c r="F66" s="38" t="s">
        <v>96</v>
      </c>
    </row>
    <row r="67" spans="3:6" x14ac:dyDescent="0.25">
      <c r="C67" s="16" t="s">
        <v>99</v>
      </c>
      <c r="D67" s="17">
        <v>2</v>
      </c>
      <c r="E67" s="17">
        <v>2</v>
      </c>
      <c r="F67" s="38" t="s">
        <v>93</v>
      </c>
    </row>
    <row r="68" spans="3:6" x14ac:dyDescent="0.25">
      <c r="C68" s="16" t="s">
        <v>100</v>
      </c>
      <c r="D68" s="17">
        <v>1</v>
      </c>
      <c r="E68" s="17">
        <v>1</v>
      </c>
      <c r="F68" s="38" t="s">
        <v>93</v>
      </c>
    </row>
    <row r="69" spans="3:6" x14ac:dyDescent="0.25">
      <c r="C69" s="16"/>
      <c r="D69" s="17"/>
      <c r="E69" s="17"/>
      <c r="F69" s="38"/>
    </row>
    <row r="70" spans="3:6" x14ac:dyDescent="0.25">
      <c r="C70" s="44" t="s">
        <v>42</v>
      </c>
      <c r="D70" s="17"/>
      <c r="E70" s="17"/>
      <c r="F70" s="38"/>
    </row>
    <row r="71" spans="3:6" x14ac:dyDescent="0.25">
      <c r="C71" s="16" t="s">
        <v>101</v>
      </c>
      <c r="D71" s="17">
        <v>15</v>
      </c>
      <c r="E71" s="17">
        <v>15</v>
      </c>
      <c r="F71" s="38" t="s">
        <v>104</v>
      </c>
    </row>
    <row r="72" spans="3:6" x14ac:dyDescent="0.25">
      <c r="C72" s="16" t="s">
        <v>102</v>
      </c>
      <c r="D72" s="17">
        <v>5</v>
      </c>
      <c r="E72" s="17">
        <v>5</v>
      </c>
      <c r="F72" s="38" t="s">
        <v>103</v>
      </c>
    </row>
    <row r="73" spans="3:6" x14ac:dyDescent="0.25">
      <c r="C73" s="16" t="s">
        <v>105</v>
      </c>
      <c r="D73" s="17">
        <v>10</v>
      </c>
      <c r="E73" s="17">
        <v>10</v>
      </c>
      <c r="F73" s="38" t="s">
        <v>93</v>
      </c>
    </row>
    <row r="74" spans="3:6" x14ac:dyDescent="0.25">
      <c r="C74" s="16" t="s">
        <v>106</v>
      </c>
      <c r="D74" s="17">
        <v>5</v>
      </c>
      <c r="E74" s="17">
        <v>5</v>
      </c>
      <c r="F74" s="38" t="s">
        <v>93</v>
      </c>
    </row>
    <row r="75" spans="3:6" x14ac:dyDescent="0.25">
      <c r="C75" s="16"/>
      <c r="D75" s="17"/>
      <c r="E75" s="17"/>
      <c r="F75" s="38"/>
    </row>
    <row r="76" spans="3:6" ht="15.75" x14ac:dyDescent="0.25">
      <c r="C76" s="18" t="s">
        <v>43</v>
      </c>
      <c r="D76" s="19">
        <f>SUM(D58:D74)</f>
        <v>97.5</v>
      </c>
      <c r="E76" s="19">
        <f>SUM(E58:E74)</f>
        <v>97.5</v>
      </c>
      <c r="F76" s="39"/>
    </row>
    <row r="77" spans="3:6" x14ac:dyDescent="0.25">
      <c r="C77" s="14"/>
      <c r="D77" s="15"/>
      <c r="E77" s="15"/>
      <c r="F77" s="37"/>
    </row>
    <row r="78" spans="3:6" ht="15.75" x14ac:dyDescent="0.25">
      <c r="C78" s="14" t="s">
        <v>44</v>
      </c>
      <c r="D78" s="20">
        <v>3500</v>
      </c>
      <c r="E78" s="20">
        <v>3500</v>
      </c>
      <c r="F78" s="40"/>
    </row>
    <row r="79" spans="3:6" x14ac:dyDescent="0.25">
      <c r="C79" s="14"/>
      <c r="D79" s="15"/>
      <c r="E79" s="15"/>
      <c r="F79" s="37"/>
    </row>
    <row r="80" spans="3:6" x14ac:dyDescent="0.25">
      <c r="C80" s="21" t="s">
        <v>45</v>
      </c>
      <c r="D80" s="17">
        <f t="shared" ref="D80:E80" si="13">(D78*85)/D56</f>
        <v>19.857161927646509</v>
      </c>
      <c r="E80" s="17">
        <f t="shared" si="13"/>
        <v>19.857161927646509</v>
      </c>
      <c r="F80" s="38" t="s">
        <v>107</v>
      </c>
    </row>
    <row r="81" spans="3:6" x14ac:dyDescent="0.25">
      <c r="C81" s="21" t="s">
        <v>46</v>
      </c>
      <c r="D81" s="17">
        <v>12</v>
      </c>
      <c r="E81" s="17">
        <v>12</v>
      </c>
      <c r="F81" s="38" t="s">
        <v>108</v>
      </c>
    </row>
    <row r="82" spans="3:6" x14ac:dyDescent="0.25">
      <c r="C82" s="21" t="s">
        <v>55</v>
      </c>
      <c r="D82" s="17">
        <f t="shared" ref="D82:E82" si="14">50000/D56</f>
        <v>3.3373381391002535</v>
      </c>
      <c r="E82" s="17">
        <f t="shared" si="14"/>
        <v>3.3373381391002535</v>
      </c>
      <c r="F82" s="38" t="s">
        <v>110</v>
      </c>
    </row>
    <row r="83" spans="3:6" x14ac:dyDescent="0.25">
      <c r="C83" s="21" t="s">
        <v>47</v>
      </c>
      <c r="D83" s="17">
        <f t="shared" ref="D83:E83" si="15">20000/D56</f>
        <v>1.3349352556401015</v>
      </c>
      <c r="E83" s="17">
        <f t="shared" si="15"/>
        <v>1.3349352556401015</v>
      </c>
      <c r="F83" s="38" t="s">
        <v>109</v>
      </c>
    </row>
    <row r="84" spans="3:6" x14ac:dyDescent="0.25">
      <c r="C84" s="21" t="s">
        <v>48</v>
      </c>
      <c r="D84" s="17">
        <f t="shared" ref="D84:E84" si="16">8000/D56</f>
        <v>0.53397410225604058</v>
      </c>
      <c r="E84" s="17">
        <f t="shared" si="16"/>
        <v>0.53397410225604058</v>
      </c>
      <c r="F84" s="38" t="s">
        <v>110</v>
      </c>
    </row>
    <row r="85" spans="3:6" x14ac:dyDescent="0.25">
      <c r="C85" s="21" t="s">
        <v>58</v>
      </c>
      <c r="D85" s="17">
        <f t="shared" ref="D85:E85" si="17">25000/D56</f>
        <v>1.6686690695501267</v>
      </c>
      <c r="E85" s="17">
        <f t="shared" si="17"/>
        <v>1.6686690695501267</v>
      </c>
      <c r="F85" s="38" t="s">
        <v>111</v>
      </c>
    </row>
    <row r="86" spans="3:6" x14ac:dyDescent="0.25">
      <c r="C86" s="21" t="s">
        <v>49</v>
      </c>
      <c r="D86" s="17">
        <f t="shared" ref="D86:E86" si="18">12000/D56</f>
        <v>0.80096115338406082</v>
      </c>
      <c r="E86" s="17">
        <f t="shared" si="18"/>
        <v>0.80096115338406082</v>
      </c>
      <c r="F86" s="38" t="s">
        <v>110</v>
      </c>
    </row>
    <row r="87" spans="3:6" x14ac:dyDescent="0.25">
      <c r="C87" s="21" t="s">
        <v>50</v>
      </c>
      <c r="D87" s="17">
        <f t="shared" ref="D87:E87" si="19">2500/D56</f>
        <v>0.16686690695501269</v>
      </c>
      <c r="E87" s="17">
        <f t="shared" si="19"/>
        <v>0.16686690695501269</v>
      </c>
      <c r="F87" s="38" t="s">
        <v>110</v>
      </c>
    </row>
    <row r="88" spans="3:6" x14ac:dyDescent="0.25">
      <c r="C88" s="21" t="s">
        <v>51</v>
      </c>
      <c r="D88" s="17">
        <f t="shared" ref="D88:E88" si="20">10000/D56</f>
        <v>0.66746762782005076</v>
      </c>
      <c r="E88" s="17">
        <f t="shared" si="20"/>
        <v>0.66746762782005076</v>
      </c>
      <c r="F88" s="38" t="s">
        <v>110</v>
      </c>
    </row>
    <row r="89" spans="3:6" x14ac:dyDescent="0.25">
      <c r="C89" s="16"/>
      <c r="D89" s="22"/>
      <c r="E89" s="22"/>
      <c r="F89" s="41"/>
    </row>
    <row r="90" spans="3:6" ht="15.75" x14ac:dyDescent="0.25">
      <c r="C90" s="18" t="s">
        <v>52</v>
      </c>
      <c r="D90" s="19">
        <f t="shared" ref="D90:E90" si="21">SUM(D80:D89)</f>
        <v>40.367374182352158</v>
      </c>
      <c r="E90" s="19">
        <f t="shared" si="21"/>
        <v>40.367374182352158</v>
      </c>
      <c r="F90" s="39"/>
    </row>
    <row r="91" spans="3:6" ht="15.75" x14ac:dyDescent="0.25">
      <c r="C91" s="18"/>
      <c r="D91" s="15"/>
      <c r="E91" s="15"/>
      <c r="F91" s="37"/>
    </row>
  </sheetData>
  <mergeCells count="6">
    <mergeCell ref="H4:I4"/>
    <mergeCell ref="F17:F18"/>
    <mergeCell ref="C46:F46"/>
    <mergeCell ref="H5:I5"/>
    <mergeCell ref="H6:I6"/>
    <mergeCell ref="H7:I7"/>
  </mergeCells>
  <printOptions horizontalCentered="1"/>
  <pageMargins left="0.15748031496062992" right="0.19685039370078741" top="0.11" bottom="0.19685039370078741" header="0.11" footer="0.1968503937007874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2024-02-26T12:06:58Z</cp:lastPrinted>
  <dcterms:created xsi:type="dcterms:W3CDTF">2023-01-05T13:35:50Z</dcterms:created>
  <dcterms:modified xsi:type="dcterms:W3CDTF">2024-03-11T12:54:31Z</dcterms:modified>
</cp:coreProperties>
</file>